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3"/>
  </bookViews>
  <sheets>
    <sheet name="расчет затраты на опл.труда" sheetId="2" r:id="rId1"/>
    <sheet name="Расчет цены кружка" sheetId="3" r:id="rId2"/>
    <sheet name="Расчет накладных затрат" sheetId="4" r:id="rId3"/>
    <sheet name="Калькуляция" sheetId="5" r:id="rId4"/>
    <sheet name="Аглийский затраты" sheetId="6" r:id="rId5"/>
    <sheet name="Логопед затраты" sheetId="7" r:id="rId6"/>
  </sheets>
  <definedNames>
    <definedName name="_xlnm.Print_Area" localSheetId="2">'Расчет накладных затрат'!$A$1:$N$19</definedName>
    <definedName name="_xlnm.Print_Area" localSheetId="1">'Расчет цены кружка'!$A$1:$O$19</definedName>
  </definedNames>
  <calcPr calcId="125725" calcOnSave="0"/>
</workbook>
</file>

<file path=xl/calcChain.xml><?xml version="1.0" encoding="utf-8"?>
<calcChain xmlns="http://schemas.openxmlformats.org/spreadsheetml/2006/main">
  <c r="H12" i="5"/>
  <c r="H11"/>
  <c r="H9"/>
  <c r="H8"/>
  <c r="H7"/>
  <c r="H6"/>
  <c r="H5"/>
  <c r="D12" i="2"/>
  <c r="D10"/>
  <c r="D9"/>
  <c r="D8"/>
  <c r="D6"/>
  <c r="D7"/>
  <c r="D5"/>
  <c r="E7" i="4" l="1"/>
  <c r="F10"/>
  <c r="G10"/>
  <c r="H10"/>
  <c r="I10"/>
  <c r="J10"/>
  <c r="K10"/>
  <c r="L10"/>
  <c r="E10"/>
  <c r="F7"/>
  <c r="G7"/>
  <c r="H7"/>
  <c r="I7"/>
  <c r="J7"/>
  <c r="K7"/>
  <c r="L7"/>
  <c r="D11" i="2" l="1"/>
  <c r="G11" i="7" l="1"/>
  <c r="G10"/>
  <c r="G9"/>
  <c r="G8"/>
  <c r="G7"/>
  <c r="G12" s="1"/>
  <c r="N11" i="3" s="1"/>
  <c r="G8" i="6" l="1"/>
  <c r="G7"/>
  <c r="G9" l="1"/>
  <c r="J11" i="4"/>
  <c r="K11"/>
  <c r="L11"/>
  <c r="E5" i="2" l="1"/>
  <c r="E8"/>
  <c r="G8" s="1"/>
  <c r="E8" i="5" s="1"/>
  <c r="I8" s="1"/>
  <c r="K8" s="1"/>
  <c r="M8" s="1"/>
  <c r="E6" i="2"/>
  <c r="E7"/>
  <c r="G7" s="1"/>
  <c r="E7" i="5" s="1"/>
  <c r="E9" i="2"/>
  <c r="E12"/>
  <c r="G12" s="1"/>
  <c r="E12" i="5" s="1"/>
  <c r="I12" s="1"/>
  <c r="K12" s="1"/>
  <c r="M12" s="1"/>
  <c r="E10" i="2"/>
  <c r="E11"/>
  <c r="G6"/>
  <c r="E6" i="5" s="1"/>
  <c r="G9" i="2"/>
  <c r="E9" i="5" s="1"/>
  <c r="I11" i="4"/>
  <c r="H11"/>
  <c r="G11"/>
  <c r="F11"/>
  <c r="N10" i="3" l="1"/>
  <c r="K10"/>
  <c r="I12" i="4" s="1"/>
  <c r="I13" s="1"/>
  <c r="I10" i="3"/>
  <c r="J10"/>
  <c r="H12" i="4" s="1"/>
  <c r="H13" s="1"/>
  <c r="E11"/>
  <c r="G5" i="2"/>
  <c r="E5" i="5" s="1"/>
  <c r="G10" i="2"/>
  <c r="G11"/>
  <c r="E11" i="5" s="1"/>
  <c r="I11" s="1"/>
  <c r="K11" s="1"/>
  <c r="M11" s="1"/>
  <c r="L10" i="3" l="1"/>
  <c r="E10" i="5"/>
  <c r="L12" i="4"/>
  <c r="L13" s="1"/>
  <c r="N13" i="3" s="1"/>
  <c r="N14"/>
  <c r="I9" i="5"/>
  <c r="K9" s="1"/>
  <c r="M9" s="1"/>
  <c r="M10" i="3"/>
  <c r="G12" i="4"/>
  <c r="G13" s="1"/>
  <c r="I13" i="3" s="1"/>
  <c r="I14" s="1"/>
  <c r="I15" s="1"/>
  <c r="I16" s="1"/>
  <c r="I18" s="1"/>
  <c r="I19" s="1"/>
  <c r="H10"/>
  <c r="F12" i="4" s="1"/>
  <c r="F13" s="1"/>
  <c r="G10" i="3"/>
  <c r="J13"/>
  <c r="J14" s="1"/>
  <c r="J15" s="1"/>
  <c r="J16" s="1"/>
  <c r="J18" s="1"/>
  <c r="J19" s="1"/>
  <c r="I6" i="5"/>
  <c r="K6" s="1"/>
  <c r="M6" s="1"/>
  <c r="K13" i="3"/>
  <c r="K14" s="1"/>
  <c r="K15" s="1"/>
  <c r="K16" s="1"/>
  <c r="K18" s="1"/>
  <c r="K19" s="1"/>
  <c r="I7" i="5"/>
  <c r="K7" s="1"/>
  <c r="M7" s="1"/>
  <c r="G13" i="2"/>
  <c r="N16" i="3" l="1"/>
  <c r="N18" s="1"/>
  <c r="N19" s="1"/>
  <c r="N15"/>
  <c r="J12" i="4"/>
  <c r="J13" s="1"/>
  <c r="K12"/>
  <c r="K13" s="1"/>
  <c r="M13" i="3" s="1"/>
  <c r="M14" s="1"/>
  <c r="E12" i="4"/>
  <c r="E13" s="1"/>
  <c r="H13" i="3"/>
  <c r="H14" s="1"/>
  <c r="I5" i="5"/>
  <c r="K5" s="1"/>
  <c r="M5" s="1"/>
  <c r="L13" i="3" l="1"/>
  <c r="L14" s="1"/>
  <c r="H10" i="5"/>
  <c r="I10" s="1"/>
  <c r="K10" s="1"/>
  <c r="M10" s="1"/>
  <c r="L15" i="3"/>
  <c r="L16" s="1"/>
  <c r="L18" s="1"/>
  <c r="L19" s="1"/>
  <c r="M15"/>
  <c r="M16" s="1"/>
  <c r="M18" s="1"/>
  <c r="M19" s="1"/>
  <c r="G13"/>
  <c r="G14" s="1"/>
  <c r="G15" s="1"/>
  <c r="G16" s="1"/>
  <c r="G18" s="1"/>
  <c r="G19" s="1"/>
  <c r="H15"/>
  <c r="H16" s="1"/>
  <c r="H18" s="1"/>
  <c r="H19" s="1"/>
</calcChain>
</file>

<file path=xl/sharedStrings.xml><?xml version="1.0" encoding="utf-8"?>
<sst xmlns="http://schemas.openxmlformats.org/spreadsheetml/2006/main" count="162" uniqueCount="107">
  <si>
    <t xml:space="preserve">РАСЧЕТ
ЗАТРАТ НА ОПЛАТУ ТРУДА ОСНОВНОГО ПЕРСОНАЛА, НЕПОСРЕДСТВЕННО
УЧАСТВУЮЩЕГО В ПРОЦЕССЕ ОКАЗАНИЯ ПЛАТНОЙ УСЛУГИ
</t>
  </si>
  <si>
    <t>Средняя  заработная плата, включая начисления на выплаты по оплате труда, рублей в месяц</t>
  </si>
  <si>
    <t>Месячный фонд рабочего времени, минут</t>
  </si>
  <si>
    <t>Норма времени на оказание платной услуги, минут</t>
  </si>
  <si>
    <t>Затраты на оплату труда персонала, рублей</t>
  </si>
  <si>
    <t>Фамилия педагога</t>
  </si>
  <si>
    <t>Должность</t>
  </si>
  <si>
    <t>№ п/п</t>
  </si>
  <si>
    <t>Итого:</t>
  </si>
  <si>
    <t>Х</t>
  </si>
  <si>
    <t>Воспитатель по обучению тат. языкам</t>
  </si>
  <si>
    <t>наименование статей затрат</t>
  </si>
  <si>
    <t>ед.изм.</t>
  </si>
  <si>
    <t>Затраты на оплату труда основного персонала</t>
  </si>
  <si>
    <t>Затраты материальных запасов</t>
  </si>
  <si>
    <t>Сумма начисленной амортизации оборудования используемого при оказании платных услуг</t>
  </si>
  <si>
    <t>Накладные затраты относимые на платную услугу</t>
  </si>
  <si>
    <t>Итого затрат на 1 услугу</t>
  </si>
  <si>
    <t>Затраты с учётом рентабельности</t>
  </si>
  <si>
    <t>Плановое количество оказываемых услуг в месяц</t>
  </si>
  <si>
    <t>Цена платной услуги в месяц</t>
  </si>
  <si>
    <t>Цена платной услуги в месяц с учётом НДС</t>
  </si>
  <si>
    <t>занятий</t>
  </si>
  <si>
    <t>руб.</t>
  </si>
  <si>
    <t>Наименование платного кружка</t>
  </si>
  <si>
    <t xml:space="preserve">N  </t>
  </si>
  <si>
    <t>Наименование статей затрат</t>
  </si>
  <si>
    <t>Прогноз затрат на административно-управленческий персонал</t>
  </si>
  <si>
    <t>Прогноз суммы начисленной амортизации имущества общехозяйственного назначения</t>
  </si>
  <si>
    <t>Прогноз суммарного фонда оплаты труда основного персонала</t>
  </si>
  <si>
    <t>Коэффициент накладных затрат</t>
  </si>
  <si>
    <t>Затраты  на основной  персонал, участвующий в предоставлении платной услуги</t>
  </si>
  <si>
    <t>Итого накладных затрат</t>
  </si>
  <si>
    <t>Рентабельность %</t>
  </si>
  <si>
    <t xml:space="preserve">Воспитатель </t>
  </si>
  <si>
    <t>Психолог</t>
  </si>
  <si>
    <t>Воспитатель</t>
  </si>
  <si>
    <t>"Лего мастер"</t>
  </si>
  <si>
    <t>"Белая ладья"</t>
  </si>
  <si>
    <t>"Мир открытий"</t>
  </si>
  <si>
    <t>"Английский язык"</t>
  </si>
  <si>
    <t>Наименование кружка</t>
  </si>
  <si>
    <t>Наименование должности</t>
  </si>
  <si>
    <t>ФИО</t>
  </si>
  <si>
    <t>ИТОГО затрат</t>
  </si>
  <si>
    <t>Рента-бельность, %</t>
  </si>
  <si>
    <t>Затраты с учетом рента-бельности</t>
  </si>
  <si>
    <t>Плановое количество оказываемых услуг</t>
  </si>
  <si>
    <t>Фактическая цена платной услуги</t>
  </si>
  <si>
    <t>Стоимость платной услуги</t>
  </si>
  <si>
    <t>Затраты на оплату труда</t>
  </si>
  <si>
    <t>Затраты на материальные запасы</t>
  </si>
  <si>
    <t>Сумма начисленной амортизации оборудования, используемого при оказании платной услуги</t>
  </si>
  <si>
    <t>Накладные затраты, относимые на платную услугу</t>
  </si>
  <si>
    <t>РАСЧЕТ</t>
  </si>
  <si>
    <t>затрат на материальные запасы, полностью потребляемые</t>
  </si>
  <si>
    <t>в процессе оказания платной услуги (работы)</t>
  </si>
  <si>
    <t>Наименование товара, составляющего материальный запас</t>
  </si>
  <si>
    <t>Ед. изм.</t>
  </si>
  <si>
    <t>Норма потребления</t>
  </si>
  <si>
    <t>Объем оказания платных услуг за норму времени</t>
  </si>
  <si>
    <t>Всего затрат материальных запасов</t>
  </si>
  <si>
    <t>Тетрадь</t>
  </si>
  <si>
    <t>шт</t>
  </si>
  <si>
    <t>Ручка</t>
  </si>
  <si>
    <t>ИТОГО</t>
  </si>
  <si>
    <t>Краски</t>
  </si>
  <si>
    <t>Кисти</t>
  </si>
  <si>
    <t>Альбомы</t>
  </si>
  <si>
    <t>Карандаши цветные</t>
  </si>
  <si>
    <t>Мелки восковые</t>
  </si>
  <si>
    <t>Цена за единицу (ср.рын.стоим., на 01.09.19г.)</t>
  </si>
  <si>
    <t xml:space="preserve"> "Лего мастер"</t>
  </si>
  <si>
    <t>Галиуллина А.В.</t>
  </si>
  <si>
    <t xml:space="preserve"> "Звукознайка"</t>
  </si>
  <si>
    <t xml:space="preserve"> "Белая ладья"</t>
  </si>
  <si>
    <t>Идрисова Ч.</t>
  </si>
  <si>
    <t xml:space="preserve">Касымова В. В. </t>
  </si>
  <si>
    <t>Черняева С.В.</t>
  </si>
  <si>
    <t>Заведующий</t>
  </si>
  <si>
    <t>Касымова В. В.              "Мир открытий"</t>
  </si>
  <si>
    <t>Расчет накладных затрат,                                                                                                                                                                                                                                                                                                       необходимых для обеспечения деятельности учреждения при оказании платной услуги</t>
  </si>
  <si>
    <t xml:space="preserve">______________Р.Г. Ганиева </t>
  </si>
  <si>
    <t>______________Э.Г. Якупова</t>
  </si>
  <si>
    <t xml:space="preserve">                              Главный бухгалтер</t>
  </si>
  <si>
    <t>Соловьева Д.И. "Английский язык"</t>
  </si>
  <si>
    <t>Никольская О.Т.                    "Мир открытий"</t>
  </si>
  <si>
    <t>Никольская О.В.</t>
  </si>
  <si>
    <t>Соловьева Д.И.</t>
  </si>
  <si>
    <t>Галиуллина А.В.                                     "Лего мастер"</t>
  </si>
  <si>
    <t>Идрисова Ч.                               "Белая ладья"</t>
  </si>
  <si>
    <t>Хамидуллина А.О.                     "Магия танца"</t>
  </si>
  <si>
    <t>Хореограф</t>
  </si>
  <si>
    <t xml:space="preserve">Хамидуллина А.О.     </t>
  </si>
  <si>
    <t xml:space="preserve"> "Магия танца"</t>
  </si>
  <si>
    <t>Калькуляционный метод формирования цены на платные услуги 2023 - 2024 год</t>
  </si>
  <si>
    <t>Черняева С.В.          "По дороге к школе"</t>
  </si>
  <si>
    <t>Инструктор по физической культуре</t>
  </si>
  <si>
    <t>Деский фитнес</t>
  </si>
  <si>
    <t>Кириченко Ольга Марсовна "Детский фитнес"</t>
  </si>
  <si>
    <t>По дороге к школе</t>
  </si>
  <si>
    <t>2023-2024 год</t>
  </si>
  <si>
    <t>Расчет цены на оказание платной услуги по МБДОУ "Детский сад общеразвивающего вида №3" на  2023-2024г.</t>
  </si>
  <si>
    <t>Цена за единицу (ср.рын.стоим., на 01.09.23г.)</t>
  </si>
  <si>
    <t>Калькуляция   на 2023 - 2024 учебный год МБДОУ "Детский сад №3" НМР РТ</t>
  </si>
  <si>
    <t>Кириченко О.М.</t>
  </si>
  <si>
    <t>"Детский фитнес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</si>
</sst>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 applyAlignment="1">
      <alignment horizontal="center" wrapText="1"/>
    </xf>
    <xf numFmtId="0" fontId="3" fillId="0" borderId="0" xfId="0" applyFont="1"/>
    <xf numFmtId="0" fontId="5" fillId="0" borderId="0" xfId="0" applyFont="1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9" fillId="0" borderId="0" xfId="0" applyFont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6" xfId="0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0" fontId="0" fillId="3" borderId="0" xfId="0" applyFill="1"/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 wrapText="1"/>
    </xf>
    <xf numFmtId="2" fontId="0" fillId="3" borderId="1" xfId="0" applyNumberFormat="1" applyFill="1" applyBorder="1"/>
    <xf numFmtId="0" fontId="0" fillId="3" borderId="1" xfId="0" applyFill="1" applyBorder="1"/>
    <xf numFmtId="0" fontId="0" fillId="0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9" fillId="3" borderId="1" xfId="0" applyFont="1" applyFill="1" applyBorder="1" applyAlignment="1">
      <alignment horizontal="center" vertical="center"/>
    </xf>
    <xf numFmtId="0" fontId="0" fillId="3" borderId="3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4" fillId="3" borderId="1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activeCell="A13" sqref="A13:XFD13"/>
    </sheetView>
  </sheetViews>
  <sheetFormatPr defaultRowHeight="15"/>
  <cols>
    <col min="1" max="1" width="4.42578125" customWidth="1"/>
    <col min="2" max="2" width="26.85546875" customWidth="1"/>
    <col min="3" max="3" width="27.5703125" customWidth="1"/>
    <col min="4" max="4" width="20.5703125" customWidth="1"/>
    <col min="5" max="5" width="16.7109375" customWidth="1"/>
    <col min="6" max="6" width="15.85546875" customWidth="1"/>
    <col min="7" max="7" width="22.7109375" customWidth="1"/>
  </cols>
  <sheetData>
    <row r="1" spans="1:7" ht="25.5" customHeight="1">
      <c r="A1" s="54" t="s">
        <v>95</v>
      </c>
      <c r="B1" s="55"/>
      <c r="C1" s="55"/>
      <c r="D1" s="55"/>
      <c r="E1" s="55"/>
      <c r="F1" s="55"/>
      <c r="G1" s="55"/>
    </row>
    <row r="2" spans="1:7" ht="49.5" customHeight="1">
      <c r="A2" s="56" t="s">
        <v>0</v>
      </c>
      <c r="B2" s="57"/>
      <c r="C2" s="57"/>
      <c r="D2" s="57"/>
      <c r="E2" s="57"/>
      <c r="F2" s="57"/>
      <c r="G2" s="57"/>
    </row>
    <row r="3" spans="1:7" ht="72.75" customHeight="1">
      <c r="A3" s="5" t="s">
        <v>7</v>
      </c>
      <c r="B3" s="19" t="s">
        <v>5</v>
      </c>
      <c r="C3" s="19" t="s">
        <v>6</v>
      </c>
      <c r="D3" s="19" t="s">
        <v>1</v>
      </c>
      <c r="E3" s="19" t="s">
        <v>2</v>
      </c>
      <c r="F3" s="19" t="s">
        <v>3</v>
      </c>
      <c r="G3" s="19" t="s">
        <v>4</v>
      </c>
    </row>
    <row r="4" spans="1:7">
      <c r="A4" s="46">
        <v>1</v>
      </c>
      <c r="B4" s="1">
        <v>2</v>
      </c>
      <c r="C4" s="1">
        <v>3</v>
      </c>
      <c r="D4" s="1">
        <v>4</v>
      </c>
      <c r="E4" s="1">
        <v>5</v>
      </c>
      <c r="F4" s="22">
        <v>6</v>
      </c>
      <c r="G4" s="1">
        <v>7</v>
      </c>
    </row>
    <row r="5" spans="1:7" ht="31.5">
      <c r="A5" s="31">
        <v>1</v>
      </c>
      <c r="B5" s="49" t="s">
        <v>89</v>
      </c>
      <c r="C5" s="45" t="s">
        <v>35</v>
      </c>
      <c r="D5" s="6">
        <f>(31952.8*1.302)</f>
        <v>41602.545599999998</v>
      </c>
      <c r="E5" s="20">
        <f t="shared" ref="E5:E12" si="0">F5*4*60</f>
        <v>7200</v>
      </c>
      <c r="F5" s="43">
        <v>30</v>
      </c>
      <c r="G5" s="21">
        <f t="shared" ref="G5:G12" si="1">D5/E5*F5</f>
        <v>173.34393999999998</v>
      </c>
    </row>
    <row r="6" spans="1:7" ht="31.5">
      <c r="A6" s="31">
        <v>2</v>
      </c>
      <c r="B6" s="49" t="s">
        <v>90</v>
      </c>
      <c r="C6" s="45" t="s">
        <v>10</v>
      </c>
      <c r="D6" s="6">
        <f>35671.22*1.302</f>
        <v>46443.928440000003</v>
      </c>
      <c r="E6" s="20">
        <f t="shared" si="0"/>
        <v>4320</v>
      </c>
      <c r="F6" s="43">
        <v>18</v>
      </c>
      <c r="G6" s="21">
        <f t="shared" si="1"/>
        <v>193.51636850000003</v>
      </c>
    </row>
    <row r="7" spans="1:7" ht="31.5">
      <c r="A7" s="31">
        <v>3</v>
      </c>
      <c r="B7" s="49" t="s">
        <v>80</v>
      </c>
      <c r="C7" s="45" t="s">
        <v>36</v>
      </c>
      <c r="D7" s="24">
        <f>(33216.23*1.302)</f>
        <v>43247.531460000006</v>
      </c>
      <c r="E7" s="20">
        <f t="shared" si="0"/>
        <v>8640</v>
      </c>
      <c r="F7" s="43">
        <v>36</v>
      </c>
      <c r="G7" s="21">
        <f t="shared" si="1"/>
        <v>180.19804775000003</v>
      </c>
    </row>
    <row r="8" spans="1:7" ht="47.25">
      <c r="A8" s="31">
        <v>4</v>
      </c>
      <c r="B8" s="49" t="s">
        <v>99</v>
      </c>
      <c r="C8" s="48" t="s">
        <v>97</v>
      </c>
      <c r="D8" s="6">
        <f>(28065.54*1.302)</f>
        <v>36541.333080000004</v>
      </c>
      <c r="E8" s="20">
        <f t="shared" si="0"/>
        <v>7200</v>
      </c>
      <c r="F8" s="43">
        <v>30</v>
      </c>
      <c r="G8" s="21">
        <f t="shared" si="1"/>
        <v>152.25555450000002</v>
      </c>
    </row>
    <row r="9" spans="1:7" ht="31.5">
      <c r="A9" s="31">
        <v>5</v>
      </c>
      <c r="B9" s="49" t="s">
        <v>86</v>
      </c>
      <c r="C9" s="45" t="s">
        <v>34</v>
      </c>
      <c r="D9" s="6">
        <f>(33216.23*1.302)</f>
        <v>43247.531460000006</v>
      </c>
      <c r="E9" s="20">
        <f t="shared" si="0"/>
        <v>8640</v>
      </c>
      <c r="F9" s="43">
        <v>36</v>
      </c>
      <c r="G9" s="21">
        <f t="shared" si="1"/>
        <v>180.19804775000003</v>
      </c>
    </row>
    <row r="10" spans="1:7" ht="31.5">
      <c r="A10" s="31">
        <v>6</v>
      </c>
      <c r="B10" s="49" t="s">
        <v>85</v>
      </c>
      <c r="C10" s="48" t="s">
        <v>36</v>
      </c>
      <c r="D10" s="6">
        <f>(36007.33* 1.302)</f>
        <v>46881.543660000003</v>
      </c>
      <c r="E10" s="20">
        <f t="shared" si="0"/>
        <v>8640</v>
      </c>
      <c r="F10" s="44">
        <v>36</v>
      </c>
      <c r="G10" s="21">
        <f t="shared" si="1"/>
        <v>195.33976525000003</v>
      </c>
    </row>
    <row r="11" spans="1:7" ht="31.5">
      <c r="A11" s="31">
        <v>7</v>
      </c>
      <c r="B11" s="49" t="s">
        <v>91</v>
      </c>
      <c r="C11" s="48" t="s">
        <v>92</v>
      </c>
      <c r="D11" s="6">
        <f>(24756.39*1.302)</f>
        <v>32232.819780000002</v>
      </c>
      <c r="E11" s="20">
        <f t="shared" si="0"/>
        <v>5760</v>
      </c>
      <c r="F11" s="44">
        <v>24</v>
      </c>
      <c r="G11" s="21">
        <f t="shared" si="1"/>
        <v>134.30341575</v>
      </c>
    </row>
    <row r="12" spans="1:7" ht="31.5">
      <c r="A12" s="31">
        <v>8</v>
      </c>
      <c r="B12" s="49" t="s">
        <v>96</v>
      </c>
      <c r="C12" s="48" t="s">
        <v>34</v>
      </c>
      <c r="D12" s="6">
        <f>(34007.096*1.302)</f>
        <v>44277.238991999999</v>
      </c>
      <c r="E12" s="20">
        <f t="shared" si="0"/>
        <v>8640</v>
      </c>
      <c r="F12" s="44">
        <v>36</v>
      </c>
      <c r="G12" s="21">
        <f t="shared" si="1"/>
        <v>184.48849579999998</v>
      </c>
    </row>
    <row r="13" spans="1:7" ht="15.75">
      <c r="A13" s="58" t="s">
        <v>8</v>
      </c>
      <c r="B13" s="58"/>
      <c r="C13" s="23" t="s">
        <v>9</v>
      </c>
      <c r="D13" s="4" t="s">
        <v>9</v>
      </c>
      <c r="E13" s="4" t="s">
        <v>9</v>
      </c>
      <c r="F13" s="23" t="s">
        <v>9</v>
      </c>
      <c r="G13" s="7">
        <f>SUM(G5:G12)</f>
        <v>1393.6436353000001</v>
      </c>
    </row>
    <row r="14" spans="1:7" ht="15.75">
      <c r="B14" s="3"/>
      <c r="C14" s="3"/>
      <c r="D14" s="3"/>
      <c r="E14" s="3"/>
      <c r="F14" s="3"/>
      <c r="G14" s="3"/>
    </row>
    <row r="15" spans="1:7">
      <c r="B15" s="2"/>
      <c r="C15" s="2"/>
      <c r="D15" s="2"/>
      <c r="E15" s="2"/>
      <c r="F15" s="2"/>
      <c r="G15" s="2"/>
    </row>
  </sheetData>
  <sortState ref="B5:G13">
    <sortCondition ref="B5"/>
  </sortState>
  <mergeCells count="3">
    <mergeCell ref="A1:G1"/>
    <mergeCell ref="A2:G2"/>
    <mergeCell ref="A13:B13"/>
  </mergeCells>
  <pageMargins left="0.70866141732283472" right="0.70866141732283472" top="0.74803149606299213" bottom="0.74803149606299213" header="0.31496062992125984" footer="0.31496062992125984"/>
  <pageSetup paperSize="9" scale="9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N19"/>
  <sheetViews>
    <sheetView view="pageBreakPreview" topLeftCell="A7" zoomScaleSheetLayoutView="100" workbookViewId="0">
      <selection activeCell="L17" sqref="L17"/>
    </sheetView>
  </sheetViews>
  <sheetFormatPr defaultRowHeight="15"/>
  <cols>
    <col min="1" max="1" width="6.28515625" customWidth="1"/>
    <col min="6" max="6" width="7.7109375" customWidth="1"/>
    <col min="14" max="14" width="10.140625" customWidth="1"/>
  </cols>
  <sheetData>
    <row r="2" spans="1:14">
      <c r="K2" s="16"/>
    </row>
    <row r="3" spans="1:14" ht="15" customHeight="1">
      <c r="C3" s="13"/>
      <c r="D3" s="13"/>
      <c r="E3" s="13"/>
      <c r="F3" s="13"/>
      <c r="G3" s="13"/>
      <c r="H3" s="13"/>
      <c r="I3" s="13"/>
      <c r="J3" s="13"/>
      <c r="K3" s="66"/>
    </row>
    <row r="4" spans="1:14">
      <c r="C4" s="13"/>
      <c r="D4" s="13"/>
      <c r="E4" s="13"/>
      <c r="F4" s="13"/>
      <c r="G4" s="13"/>
      <c r="H4" s="13"/>
      <c r="I4" s="13"/>
      <c r="J4" s="13"/>
      <c r="K4" s="66"/>
    </row>
    <row r="5" spans="1:14">
      <c r="C5" s="13"/>
      <c r="D5" s="13"/>
      <c r="E5" s="13"/>
      <c r="F5" s="13"/>
      <c r="G5" s="13"/>
      <c r="H5" s="13"/>
      <c r="I5" s="13"/>
      <c r="J5" s="14"/>
      <c r="K5" s="16"/>
    </row>
    <row r="7" spans="1:14" ht="60.75" customHeight="1">
      <c r="A7" s="33"/>
      <c r="B7" s="63" t="s">
        <v>102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</row>
    <row r="8" spans="1:14" ht="15" customHeight="1">
      <c r="A8" s="59" t="s">
        <v>7</v>
      </c>
      <c r="B8" s="59" t="s">
        <v>11</v>
      </c>
      <c r="C8" s="59"/>
      <c r="D8" s="59"/>
      <c r="E8" s="59"/>
      <c r="F8" s="59" t="s">
        <v>12</v>
      </c>
      <c r="G8" s="64" t="s">
        <v>24</v>
      </c>
      <c r="H8" s="65"/>
      <c r="I8" s="65"/>
      <c r="J8" s="65"/>
      <c r="K8" s="65"/>
      <c r="L8" s="65"/>
      <c r="M8" s="65"/>
      <c r="N8" s="65"/>
    </row>
    <row r="9" spans="1:14" ht="31.5" customHeight="1">
      <c r="A9" s="59"/>
      <c r="B9" s="59"/>
      <c r="C9" s="59"/>
      <c r="D9" s="59"/>
      <c r="E9" s="59"/>
      <c r="F9" s="59"/>
      <c r="G9" s="34" t="s">
        <v>37</v>
      </c>
      <c r="H9" s="34" t="s">
        <v>38</v>
      </c>
      <c r="I9" s="34" t="s">
        <v>39</v>
      </c>
      <c r="J9" s="34" t="s">
        <v>98</v>
      </c>
      <c r="K9" s="34" t="s">
        <v>39</v>
      </c>
      <c r="L9" s="34" t="s">
        <v>40</v>
      </c>
      <c r="M9" s="77" t="s">
        <v>94</v>
      </c>
      <c r="N9" s="77" t="s">
        <v>100</v>
      </c>
    </row>
    <row r="10" spans="1:14" ht="28.5" customHeight="1">
      <c r="A10" s="35">
        <v>1</v>
      </c>
      <c r="B10" s="60" t="s">
        <v>13</v>
      </c>
      <c r="C10" s="61"/>
      <c r="D10" s="61"/>
      <c r="E10" s="62"/>
      <c r="F10" s="35" t="s">
        <v>23</v>
      </c>
      <c r="G10" s="36">
        <f>'расчет затраты на опл.труда'!G5</f>
        <v>173.34393999999998</v>
      </c>
      <c r="H10" s="36">
        <f>'расчет затраты на опл.труда'!G6</f>
        <v>193.51636850000003</v>
      </c>
      <c r="I10" s="36">
        <f>'расчет затраты на опл.труда'!G7</f>
        <v>180.19804775000003</v>
      </c>
      <c r="J10" s="36">
        <f>'расчет затраты на опл.труда'!G8</f>
        <v>152.25555450000002</v>
      </c>
      <c r="K10" s="36">
        <f>'расчет затраты на опл.труда'!G9</f>
        <v>180.19804775000003</v>
      </c>
      <c r="L10" s="37">
        <f>'расчет затраты на опл.труда'!G10</f>
        <v>195.33976525000003</v>
      </c>
      <c r="M10" s="37">
        <f>'расчет затраты на опл.труда'!G11</f>
        <v>134.30341575</v>
      </c>
      <c r="N10" s="37">
        <f>'расчет затраты на опл.труда'!G12</f>
        <v>184.48849579999998</v>
      </c>
    </row>
    <row r="11" spans="1:14">
      <c r="A11" s="35">
        <v>2</v>
      </c>
      <c r="B11" s="60" t="s">
        <v>14</v>
      </c>
      <c r="C11" s="61"/>
      <c r="D11" s="61"/>
      <c r="E11" s="62"/>
      <c r="F11" s="35" t="s">
        <v>23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8">
        <f>'Логопед затраты'!G12</f>
        <v>83.75</v>
      </c>
    </row>
    <row r="12" spans="1:14" ht="44.25" customHeight="1">
      <c r="A12" s="35">
        <v>3</v>
      </c>
      <c r="B12" s="60" t="s">
        <v>15</v>
      </c>
      <c r="C12" s="61"/>
      <c r="D12" s="61"/>
      <c r="E12" s="62"/>
      <c r="F12" s="35" t="s">
        <v>23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</row>
    <row r="13" spans="1:14" ht="30" customHeight="1">
      <c r="A13" s="35">
        <v>4</v>
      </c>
      <c r="B13" s="60" t="s">
        <v>16</v>
      </c>
      <c r="C13" s="61"/>
      <c r="D13" s="61"/>
      <c r="E13" s="62"/>
      <c r="F13" s="35" t="s">
        <v>23</v>
      </c>
      <c r="G13" s="36">
        <f>'Расчет накладных затрат'!E13</f>
        <v>396.45591588487969</v>
      </c>
      <c r="H13" s="36">
        <f>'Расчет накладных затрат'!F13</f>
        <v>442.59239239850791</v>
      </c>
      <c r="I13" s="36">
        <f>'Расчет накладных затрат'!G13</f>
        <v>412.13198489311804</v>
      </c>
      <c r="J13" s="36">
        <f>'Расчет накладных затрат'!H13</f>
        <v>348.22454888159189</v>
      </c>
      <c r="K13" s="36">
        <f>'Расчет накладных затрат'!I13</f>
        <v>412.13198489311804</v>
      </c>
      <c r="L13" s="36">
        <f>'Расчет накладных затрат'!J13</f>
        <v>446.76269352667401</v>
      </c>
      <c r="M13" s="36">
        <f>'Расчет накладных затрат'!K13</f>
        <v>307.16610974478851</v>
      </c>
      <c r="N13" s="36">
        <f>'Расчет накладных затрат'!L13</f>
        <v>421.94469314942756</v>
      </c>
    </row>
    <row r="14" spans="1:14">
      <c r="A14" s="35">
        <v>5</v>
      </c>
      <c r="B14" s="60" t="s">
        <v>17</v>
      </c>
      <c r="C14" s="61"/>
      <c r="D14" s="61"/>
      <c r="E14" s="62"/>
      <c r="F14" s="35" t="s">
        <v>23</v>
      </c>
      <c r="G14" s="36">
        <f>G10+G11+G12+G13</f>
        <v>569.79985588487966</v>
      </c>
      <c r="H14" s="36">
        <f t="shared" ref="H14" si="0">H10+H11+H12+H13</f>
        <v>636.10876089850797</v>
      </c>
      <c r="I14" s="36">
        <f t="shared" ref="I14" si="1">I10+I11+I12+I13</f>
        <v>592.3300326431181</v>
      </c>
      <c r="J14" s="36">
        <f t="shared" ref="J14" si="2">J10+J11+J12+J13</f>
        <v>500.4801033815919</v>
      </c>
      <c r="K14" s="36">
        <f t="shared" ref="K14:N14" si="3">K10+K11+K12+K13</f>
        <v>592.3300326431181</v>
      </c>
      <c r="L14" s="36">
        <f t="shared" si="3"/>
        <v>642.10245877667398</v>
      </c>
      <c r="M14" s="36">
        <f t="shared" si="3"/>
        <v>441.46952549478851</v>
      </c>
      <c r="N14" s="36">
        <f t="shared" si="3"/>
        <v>690.18318894942763</v>
      </c>
    </row>
    <row r="15" spans="1:14" ht="19.5" customHeight="1">
      <c r="A15" s="35">
        <v>6</v>
      </c>
      <c r="B15" s="60" t="s">
        <v>33</v>
      </c>
      <c r="C15" s="61"/>
      <c r="D15" s="61"/>
      <c r="E15" s="62"/>
      <c r="F15" s="35" t="s">
        <v>23</v>
      </c>
      <c r="G15" s="36">
        <f>G14*20%</f>
        <v>113.95997117697594</v>
      </c>
      <c r="H15" s="36">
        <f>H14*30%</f>
        <v>190.83262826955237</v>
      </c>
      <c r="I15" s="36">
        <f>I14*30%</f>
        <v>177.69900979293541</v>
      </c>
      <c r="J15" s="36">
        <f>J14*30%</f>
        <v>150.14403101447758</v>
      </c>
      <c r="K15" s="36">
        <f>K14*30%</f>
        <v>177.69900979293541</v>
      </c>
      <c r="L15" s="36">
        <f t="shared" ref="L15:N15" si="4">L14*30%</f>
        <v>192.63073763300218</v>
      </c>
      <c r="M15" s="36">
        <f t="shared" si="4"/>
        <v>132.44085764843655</v>
      </c>
      <c r="N15" s="36">
        <f t="shared" si="4"/>
        <v>207.05495668482828</v>
      </c>
    </row>
    <row r="16" spans="1:14" ht="21.75" customHeight="1">
      <c r="A16" s="35">
        <v>7</v>
      </c>
      <c r="B16" s="60" t="s">
        <v>18</v>
      </c>
      <c r="C16" s="61"/>
      <c r="D16" s="61"/>
      <c r="E16" s="62"/>
      <c r="F16" s="35" t="s">
        <v>23</v>
      </c>
      <c r="G16" s="36">
        <f>G14+G15</f>
        <v>683.75982706185562</v>
      </c>
      <c r="H16" s="36">
        <f t="shared" ref="H16" si="5">H14+H15</f>
        <v>826.94138916806037</v>
      </c>
      <c r="I16" s="36">
        <f t="shared" ref="I16" si="6">I14+I15</f>
        <v>770.02904243605349</v>
      </c>
      <c r="J16" s="36">
        <f t="shared" ref="J16" si="7">J14+J15</f>
        <v>650.62413439606951</v>
      </c>
      <c r="K16" s="36">
        <f t="shared" ref="K16:N16" si="8">K14+K15</f>
        <v>770.02904243605349</v>
      </c>
      <c r="L16" s="36">
        <f t="shared" si="8"/>
        <v>834.73319640967611</v>
      </c>
      <c r="M16" s="36">
        <f t="shared" si="8"/>
        <v>573.91038314322509</v>
      </c>
      <c r="N16" s="36">
        <f t="shared" si="8"/>
        <v>897.23814563425594</v>
      </c>
    </row>
    <row r="17" spans="1:14" ht="31.5" customHeight="1">
      <c r="A17" s="35">
        <v>8</v>
      </c>
      <c r="B17" s="60" t="s">
        <v>19</v>
      </c>
      <c r="C17" s="61"/>
      <c r="D17" s="61"/>
      <c r="E17" s="62"/>
      <c r="F17" s="35" t="s">
        <v>22</v>
      </c>
      <c r="G17" s="36">
        <v>8</v>
      </c>
      <c r="H17" s="36">
        <v>8</v>
      </c>
      <c r="I17" s="36">
        <v>8</v>
      </c>
      <c r="J17" s="36">
        <v>8</v>
      </c>
      <c r="K17" s="36">
        <v>8</v>
      </c>
      <c r="L17" s="36">
        <v>8</v>
      </c>
      <c r="M17" s="36">
        <v>8</v>
      </c>
      <c r="N17" s="36">
        <v>8</v>
      </c>
    </row>
    <row r="18" spans="1:14">
      <c r="A18" s="35">
        <v>9</v>
      </c>
      <c r="B18" s="60" t="s">
        <v>20</v>
      </c>
      <c r="C18" s="61"/>
      <c r="D18" s="61"/>
      <c r="E18" s="62"/>
      <c r="F18" s="35" t="s">
        <v>23</v>
      </c>
      <c r="G18" s="36">
        <f>G16*G17</f>
        <v>5470.0786164948449</v>
      </c>
      <c r="H18" s="36">
        <f t="shared" ref="H18" si="9">H16*H17</f>
        <v>6615.5311133444829</v>
      </c>
      <c r="I18" s="36">
        <f t="shared" ref="I18" si="10">I16*I17</f>
        <v>6160.2323394884279</v>
      </c>
      <c r="J18" s="36">
        <f t="shared" ref="J18" si="11">J16*J17</f>
        <v>5204.9930751685561</v>
      </c>
      <c r="K18" s="36">
        <f t="shared" ref="K18:N18" si="12">K16*K17</f>
        <v>6160.2323394884279</v>
      </c>
      <c r="L18" s="36">
        <f t="shared" si="12"/>
        <v>6677.8655712774089</v>
      </c>
      <c r="M18" s="36">
        <f t="shared" si="12"/>
        <v>4591.2830651458007</v>
      </c>
      <c r="N18" s="36">
        <f t="shared" si="12"/>
        <v>7177.9051650740475</v>
      </c>
    </row>
    <row r="19" spans="1:14" ht="33" customHeight="1">
      <c r="A19" s="35">
        <v>10</v>
      </c>
      <c r="B19" s="60" t="s">
        <v>21</v>
      </c>
      <c r="C19" s="61"/>
      <c r="D19" s="61"/>
      <c r="E19" s="62"/>
      <c r="F19" s="35" t="s">
        <v>23</v>
      </c>
      <c r="G19" s="36">
        <f>G18</f>
        <v>5470.0786164948449</v>
      </c>
      <c r="H19" s="36">
        <f t="shared" ref="H19" si="13">H18</f>
        <v>6615.5311133444829</v>
      </c>
      <c r="I19" s="36">
        <f t="shared" ref="I19" si="14">I18</f>
        <v>6160.2323394884279</v>
      </c>
      <c r="J19" s="36">
        <f t="shared" ref="J19" si="15">J18</f>
        <v>5204.9930751685561</v>
      </c>
      <c r="K19" s="36">
        <f t="shared" ref="K19:N19" si="16">K18</f>
        <v>6160.2323394884279</v>
      </c>
      <c r="L19" s="36">
        <f t="shared" si="16"/>
        <v>6677.8655712774089</v>
      </c>
      <c r="M19" s="36">
        <f t="shared" si="16"/>
        <v>4591.2830651458007</v>
      </c>
      <c r="N19" s="36">
        <f t="shared" si="16"/>
        <v>7177.9051650740475</v>
      </c>
    </row>
  </sheetData>
  <mergeCells count="16">
    <mergeCell ref="B7:N7"/>
    <mergeCell ref="B16:E16"/>
    <mergeCell ref="B17:E17"/>
    <mergeCell ref="G8:N8"/>
    <mergeCell ref="K3:K4"/>
    <mergeCell ref="A8:A9"/>
    <mergeCell ref="B8:E9"/>
    <mergeCell ref="F8:F9"/>
    <mergeCell ref="B18:E18"/>
    <mergeCell ref="B19:E19"/>
    <mergeCell ref="B10:E10"/>
    <mergeCell ref="B11:E11"/>
    <mergeCell ref="B12:E12"/>
    <mergeCell ref="B13:E13"/>
    <mergeCell ref="B14:E14"/>
    <mergeCell ref="B15:E15"/>
  </mergeCells>
  <pageMargins left="0.31496062992125984" right="0.31496062992125984" top="0.15748031496062992" bottom="0.15748031496062992" header="0.31496062992125984" footer="0.31496062992125984"/>
  <pageSetup paperSize="9" scale="92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4"/>
  <sheetViews>
    <sheetView view="pageBreakPreview" zoomScaleSheetLayoutView="100" workbookViewId="0">
      <selection activeCell="J9" sqref="J9"/>
    </sheetView>
  </sheetViews>
  <sheetFormatPr defaultRowHeight="15"/>
  <cols>
    <col min="1" max="1" width="2.140625" style="8" customWidth="1"/>
    <col min="2" max="2" width="5" style="8" customWidth="1"/>
    <col min="3" max="3" width="24" style="8" customWidth="1"/>
    <col min="4" max="4" width="9.7109375" style="8" customWidth="1"/>
    <col min="5" max="5" width="10.7109375" style="8" customWidth="1"/>
    <col min="6" max="7" width="11" style="8" customWidth="1"/>
    <col min="8" max="8" width="11.140625" style="8" customWidth="1"/>
    <col min="9" max="9" width="10.85546875" style="8" customWidth="1"/>
    <col min="10" max="11" width="11.28515625" style="8" customWidth="1"/>
    <col min="12" max="12" width="10.7109375" style="8" customWidth="1"/>
    <col min="13" max="16384" width="9.140625" style="8"/>
  </cols>
  <sheetData>
    <row r="1" spans="1:13">
      <c r="A1" s="10"/>
      <c r="B1" s="11"/>
      <c r="C1" s="10"/>
      <c r="D1" s="10"/>
    </row>
    <row r="2" spans="1:13" ht="15" customHeight="1">
      <c r="A2" s="69" t="s">
        <v>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6.25" customHeight="1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</row>
    <row r="4" spans="1:13" ht="18.75">
      <c r="A4" s="10"/>
      <c r="B4" s="11"/>
      <c r="C4" s="10"/>
      <c r="D4" s="10"/>
      <c r="F4" s="68" t="s">
        <v>101</v>
      </c>
      <c r="G4" s="68"/>
      <c r="H4" s="68"/>
      <c r="I4" s="68"/>
    </row>
    <row r="5" spans="1:13">
      <c r="B5" s="11"/>
      <c r="E5" s="17"/>
    </row>
    <row r="6" spans="1:13" ht="63" customHeight="1">
      <c r="B6" s="12" t="s">
        <v>25</v>
      </c>
      <c r="C6" s="67" t="s">
        <v>26</v>
      </c>
      <c r="D6" s="70"/>
      <c r="E6" s="50" t="s">
        <v>37</v>
      </c>
      <c r="F6" s="50" t="s">
        <v>38</v>
      </c>
      <c r="G6" s="50" t="s">
        <v>39</v>
      </c>
      <c r="H6" s="50" t="s">
        <v>98</v>
      </c>
      <c r="I6" s="50" t="s">
        <v>39</v>
      </c>
      <c r="J6" s="50" t="s">
        <v>40</v>
      </c>
      <c r="K6" s="51" t="s">
        <v>94</v>
      </c>
      <c r="L6" s="51" t="s">
        <v>100</v>
      </c>
    </row>
    <row r="7" spans="1:13" ht="39.75" customHeight="1">
      <c r="B7" s="12">
        <v>1</v>
      </c>
      <c r="C7" s="67" t="s">
        <v>27</v>
      </c>
      <c r="D7" s="67"/>
      <c r="E7" s="42">
        <f>81.472*0.12*1.302</f>
        <v>12.729185279999999</v>
      </c>
      <c r="F7" s="42">
        <f t="shared" ref="F7:L7" si="0">81.472*0.12*1.302</f>
        <v>12.729185279999999</v>
      </c>
      <c r="G7" s="42">
        <f t="shared" si="0"/>
        <v>12.729185279999999</v>
      </c>
      <c r="H7" s="42">
        <f t="shared" si="0"/>
        <v>12.729185279999999</v>
      </c>
      <c r="I7" s="42">
        <f t="shared" si="0"/>
        <v>12.729185279999999</v>
      </c>
      <c r="J7" s="42">
        <f t="shared" si="0"/>
        <v>12.729185279999999</v>
      </c>
      <c r="K7" s="42">
        <f t="shared" si="0"/>
        <v>12.729185279999999</v>
      </c>
      <c r="L7" s="42">
        <f t="shared" si="0"/>
        <v>12.729185279999999</v>
      </c>
    </row>
    <row r="8" spans="1:13" ht="39.75" customHeight="1">
      <c r="B8" s="12">
        <v>2</v>
      </c>
      <c r="C8" s="67" t="s">
        <v>51</v>
      </c>
      <c r="D8" s="67"/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39">
        <v>0</v>
      </c>
      <c r="K8" s="39">
        <v>0</v>
      </c>
      <c r="L8" s="27">
        <v>0</v>
      </c>
    </row>
    <row r="9" spans="1:13" ht="65.25" customHeight="1">
      <c r="B9" s="12">
        <v>3</v>
      </c>
      <c r="C9" s="67" t="s">
        <v>28</v>
      </c>
      <c r="D9" s="67"/>
      <c r="E9" s="40">
        <v>0</v>
      </c>
      <c r="F9" s="40">
        <v>0</v>
      </c>
      <c r="G9" s="40">
        <v>0</v>
      </c>
      <c r="H9" s="40">
        <v>0</v>
      </c>
      <c r="I9" s="40">
        <v>0</v>
      </c>
      <c r="J9" s="41">
        <v>0</v>
      </c>
      <c r="K9" s="41">
        <v>0</v>
      </c>
      <c r="L9" s="41">
        <v>0</v>
      </c>
    </row>
    <row r="10" spans="1:13" ht="39.75" customHeight="1">
      <c r="B10" s="12">
        <v>4</v>
      </c>
      <c r="C10" s="67" t="s">
        <v>29</v>
      </c>
      <c r="D10" s="67"/>
      <c r="E10" s="42">
        <f>(40.415*0.456)*0.302</f>
        <v>5.5656304800000003</v>
      </c>
      <c r="F10" s="42">
        <f t="shared" ref="F10:L10" si="1">(40.415*0.456)*0.302</f>
        <v>5.5656304800000003</v>
      </c>
      <c r="G10" s="42">
        <f t="shared" si="1"/>
        <v>5.5656304800000003</v>
      </c>
      <c r="H10" s="42">
        <f t="shared" si="1"/>
        <v>5.5656304800000003</v>
      </c>
      <c r="I10" s="42">
        <f t="shared" si="1"/>
        <v>5.5656304800000003</v>
      </c>
      <c r="J10" s="42">
        <f t="shared" si="1"/>
        <v>5.5656304800000003</v>
      </c>
      <c r="K10" s="42">
        <f t="shared" si="1"/>
        <v>5.5656304800000003</v>
      </c>
      <c r="L10" s="42">
        <f t="shared" si="1"/>
        <v>5.5656304800000003</v>
      </c>
    </row>
    <row r="11" spans="1:13" ht="27" customHeight="1">
      <c r="B11" s="12">
        <v>5</v>
      </c>
      <c r="C11" s="67" t="s">
        <v>30</v>
      </c>
      <c r="D11" s="67"/>
      <c r="E11" s="42">
        <f>(E7+E8+E9)/E10</f>
        <v>2.2871057152899592</v>
      </c>
      <c r="F11" s="42">
        <f>(F7+F8+F9)/F10</f>
        <v>2.2871057152899592</v>
      </c>
      <c r="G11" s="42">
        <f>(G7+G8+G9)/G10</f>
        <v>2.2871057152899592</v>
      </c>
      <c r="H11" s="42">
        <f>(H7+H8+H9)/H10</f>
        <v>2.2871057152899592</v>
      </c>
      <c r="I11" s="42">
        <f>(I7+I8+I9)/I10</f>
        <v>2.2871057152899592</v>
      </c>
      <c r="J11" s="42">
        <f t="shared" ref="J11:L11" si="2">(J7+J8+J9)/J10</f>
        <v>2.2871057152899592</v>
      </c>
      <c r="K11" s="42">
        <f t="shared" si="2"/>
        <v>2.2871057152899592</v>
      </c>
      <c r="L11" s="42">
        <f t="shared" si="2"/>
        <v>2.2871057152899592</v>
      </c>
    </row>
    <row r="12" spans="1:13" ht="52.5" customHeight="1">
      <c r="B12" s="12">
        <v>6</v>
      </c>
      <c r="C12" s="67" t="s">
        <v>31</v>
      </c>
      <c r="D12" s="67"/>
      <c r="E12" s="42">
        <f>'Расчет цены кружка'!G10</f>
        <v>173.34393999999998</v>
      </c>
      <c r="F12" s="42">
        <f>'Расчет цены кружка'!H10</f>
        <v>193.51636850000003</v>
      </c>
      <c r="G12" s="42">
        <f>'Расчет цены кружка'!I10</f>
        <v>180.19804775000003</v>
      </c>
      <c r="H12" s="42">
        <f>'Расчет цены кружка'!J10</f>
        <v>152.25555450000002</v>
      </c>
      <c r="I12" s="42">
        <f>'Расчет цены кружка'!K10</f>
        <v>180.19804775000003</v>
      </c>
      <c r="J12" s="42">
        <f>'Расчет цены кружка'!L10</f>
        <v>195.33976525000003</v>
      </c>
      <c r="K12" s="42">
        <f>'Расчет цены кружка'!M10</f>
        <v>134.30341575</v>
      </c>
      <c r="L12" s="42">
        <f>'Расчет цены кружка'!N10</f>
        <v>184.48849579999998</v>
      </c>
    </row>
    <row r="13" spans="1:13" ht="25.5" customHeight="1">
      <c r="B13" s="18">
        <v>7</v>
      </c>
      <c r="C13" s="67" t="s">
        <v>32</v>
      </c>
      <c r="D13" s="67"/>
      <c r="E13" s="42">
        <f>E11*E12</f>
        <v>396.45591588487969</v>
      </c>
      <c r="F13" s="42">
        <f>F11*F12</f>
        <v>442.59239239850791</v>
      </c>
      <c r="G13" s="42">
        <f>G11*G12</f>
        <v>412.13198489311804</v>
      </c>
      <c r="H13" s="42">
        <f>H11*H12</f>
        <v>348.22454888159189</v>
      </c>
      <c r="I13" s="42">
        <f>I11*I12</f>
        <v>412.13198489311804</v>
      </c>
      <c r="J13" s="42">
        <f t="shared" ref="J13:L13" si="3">J11*J12</f>
        <v>446.76269352667401</v>
      </c>
      <c r="K13" s="42">
        <f t="shared" si="3"/>
        <v>307.16610974478851</v>
      </c>
      <c r="L13" s="42">
        <f t="shared" si="3"/>
        <v>421.94469314942756</v>
      </c>
    </row>
    <row r="14" spans="1:13">
      <c r="B14" s="9"/>
      <c r="C14" s="9"/>
      <c r="D14" s="9"/>
    </row>
  </sheetData>
  <mergeCells count="10">
    <mergeCell ref="A2:M3"/>
    <mergeCell ref="C6:D6"/>
    <mergeCell ref="C7:D7"/>
    <mergeCell ref="C8:D8"/>
    <mergeCell ref="C9:D9"/>
    <mergeCell ref="C10:D10"/>
    <mergeCell ref="C11:D11"/>
    <mergeCell ref="C12:D12"/>
    <mergeCell ref="C13:D13"/>
    <mergeCell ref="F4:I4"/>
  </mergeCells>
  <pageMargins left="0" right="0" top="1.1417322834645669" bottom="0.35433070866141736" header="0.31496062992125984" footer="0.31496062992125984"/>
  <pageSetup paperSize="9" scale="94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8"/>
  <sheetViews>
    <sheetView tabSelected="1" workbookViewId="0">
      <selection activeCell="K5" sqref="K5"/>
    </sheetView>
  </sheetViews>
  <sheetFormatPr defaultRowHeight="15"/>
  <cols>
    <col min="1" max="1" width="6.42578125" customWidth="1"/>
    <col min="2" max="2" width="20.5703125" customWidth="1"/>
    <col min="3" max="3" width="18.28515625" customWidth="1"/>
    <col min="4" max="4" width="16.42578125" customWidth="1"/>
    <col min="5" max="5" width="12.42578125" customWidth="1"/>
    <col min="6" max="6" width="13" customWidth="1"/>
    <col min="7" max="7" width="12.85546875" customWidth="1"/>
    <col min="8" max="8" width="14.5703125" customWidth="1"/>
    <col min="12" max="12" width="11" customWidth="1"/>
    <col min="14" max="14" width="9.5703125" customWidth="1"/>
  </cols>
  <sheetData>
    <row r="1" spans="1:15" ht="18.75">
      <c r="A1" s="73" t="s">
        <v>104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25"/>
    </row>
    <row r="2" spans="1:15" ht="15.7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33.75" customHeight="1">
      <c r="A3" s="67" t="s">
        <v>7</v>
      </c>
      <c r="B3" s="78" t="s">
        <v>43</v>
      </c>
      <c r="C3" s="67" t="s">
        <v>41</v>
      </c>
      <c r="D3" s="67" t="s">
        <v>42</v>
      </c>
      <c r="E3" s="67" t="s">
        <v>26</v>
      </c>
      <c r="F3" s="67"/>
      <c r="G3" s="67"/>
      <c r="H3" s="67"/>
      <c r="I3" s="67" t="s">
        <v>44</v>
      </c>
      <c r="J3" s="67" t="s">
        <v>45</v>
      </c>
      <c r="K3" s="67" t="s">
        <v>46</v>
      </c>
      <c r="L3" s="67" t="s">
        <v>47</v>
      </c>
      <c r="M3" s="67" t="s">
        <v>48</v>
      </c>
      <c r="N3" s="67" t="s">
        <v>49</v>
      </c>
      <c r="O3" s="25"/>
    </row>
    <row r="4" spans="1:15" ht="104.25" customHeight="1">
      <c r="A4" s="67"/>
      <c r="B4" s="79"/>
      <c r="C4" s="67"/>
      <c r="D4" s="67"/>
      <c r="E4" s="19" t="s">
        <v>50</v>
      </c>
      <c r="F4" s="19" t="s">
        <v>51</v>
      </c>
      <c r="G4" s="19" t="s">
        <v>52</v>
      </c>
      <c r="H4" s="19" t="s">
        <v>53</v>
      </c>
      <c r="I4" s="67"/>
      <c r="J4" s="67"/>
      <c r="K4" s="67"/>
      <c r="L4" s="67"/>
      <c r="M4" s="67"/>
      <c r="N4" s="67"/>
      <c r="O4" s="25"/>
    </row>
    <row r="5" spans="1:15" ht="35.25" customHeight="1">
      <c r="A5" s="31">
        <v>1</v>
      </c>
      <c r="B5" s="29" t="s">
        <v>73</v>
      </c>
      <c r="C5" s="52" t="s">
        <v>72</v>
      </c>
      <c r="D5" s="47" t="s">
        <v>35</v>
      </c>
      <c r="E5" s="30">
        <f>'расчет затраты на опл.труда'!G5</f>
        <v>173.34393999999998</v>
      </c>
      <c r="F5" s="30">
        <v>0</v>
      </c>
      <c r="G5" s="30">
        <v>0</v>
      </c>
      <c r="H5" s="30">
        <f>'Расчет накладных затрат'!E13</f>
        <v>396.45591588487969</v>
      </c>
      <c r="I5" s="30">
        <f>E5+F5+G5+H5</f>
        <v>569.79985588487966</v>
      </c>
      <c r="J5" s="31">
        <v>20</v>
      </c>
      <c r="K5" s="30">
        <f>I5*1.2</f>
        <v>683.75982706185562</v>
      </c>
      <c r="L5" s="31">
        <v>8</v>
      </c>
      <c r="M5" s="30">
        <f>L5*K5</f>
        <v>5470.0786164948449</v>
      </c>
      <c r="N5" s="30">
        <v>800</v>
      </c>
      <c r="O5" s="25"/>
    </row>
    <row r="6" spans="1:15" ht="35.25" customHeight="1">
      <c r="A6" s="31">
        <v>2</v>
      </c>
      <c r="B6" s="29" t="s">
        <v>76</v>
      </c>
      <c r="C6" s="52" t="s">
        <v>75</v>
      </c>
      <c r="D6" s="29" t="s">
        <v>36</v>
      </c>
      <c r="E6" s="30">
        <f>'расчет затраты на опл.труда'!G6</f>
        <v>193.51636850000003</v>
      </c>
      <c r="F6" s="30">
        <v>0</v>
      </c>
      <c r="G6" s="30">
        <v>0</v>
      </c>
      <c r="H6" s="30">
        <f>'Расчет накладных затрат'!F13</f>
        <v>442.59239239850791</v>
      </c>
      <c r="I6" s="30">
        <f>E6+F6+G6+H6</f>
        <v>636.10876089850797</v>
      </c>
      <c r="J6" s="31">
        <v>20</v>
      </c>
      <c r="K6" s="30">
        <f>I6*1.2</f>
        <v>763.33051307820949</v>
      </c>
      <c r="L6" s="31">
        <v>8</v>
      </c>
      <c r="M6" s="30">
        <f>L6*K6</f>
        <v>6106.6441046256759</v>
      </c>
      <c r="N6" s="30">
        <v>600</v>
      </c>
      <c r="O6" s="25"/>
    </row>
    <row r="7" spans="1:15" ht="35.25" customHeight="1">
      <c r="A7" s="31">
        <v>3</v>
      </c>
      <c r="B7" s="29" t="s">
        <v>77</v>
      </c>
      <c r="C7" s="52" t="s">
        <v>39</v>
      </c>
      <c r="D7" s="29" t="s">
        <v>36</v>
      </c>
      <c r="E7" s="30">
        <f>'расчет затраты на опл.труда'!G7</f>
        <v>180.19804775000003</v>
      </c>
      <c r="F7" s="30">
        <v>0</v>
      </c>
      <c r="G7" s="30">
        <v>0</v>
      </c>
      <c r="H7" s="30">
        <f>'Расчет накладных затрат'!G13</f>
        <v>412.13198489311804</v>
      </c>
      <c r="I7" s="30">
        <f>E7+F7+G7+H7</f>
        <v>592.3300326431181</v>
      </c>
      <c r="J7" s="31">
        <v>20</v>
      </c>
      <c r="K7" s="30">
        <f>I7*1.2</f>
        <v>710.79603917174165</v>
      </c>
      <c r="L7" s="31">
        <v>8</v>
      </c>
      <c r="M7" s="30">
        <f>L7*K7</f>
        <v>5686.3683133739332</v>
      </c>
      <c r="N7" s="30">
        <v>600</v>
      </c>
      <c r="O7" s="25"/>
    </row>
    <row r="8" spans="1:15" ht="35.25" customHeight="1">
      <c r="A8" s="31">
        <v>4</v>
      </c>
      <c r="B8" s="29" t="s">
        <v>105</v>
      </c>
      <c r="C8" s="80" t="s">
        <v>106</v>
      </c>
      <c r="D8" s="48" t="s">
        <v>97</v>
      </c>
      <c r="E8" s="30">
        <f>'расчет затраты на опл.труда'!G8</f>
        <v>152.25555450000002</v>
      </c>
      <c r="F8" s="30">
        <v>0</v>
      </c>
      <c r="G8" s="30">
        <v>0</v>
      </c>
      <c r="H8" s="30">
        <f>'Расчет накладных затрат'!H13</f>
        <v>348.22454888159189</v>
      </c>
      <c r="I8" s="30">
        <f>E8+F8+G8+H8</f>
        <v>500.4801033815919</v>
      </c>
      <c r="J8" s="31">
        <v>21</v>
      </c>
      <c r="K8" s="30">
        <f>I8*1.2</f>
        <v>600.57612405791031</v>
      </c>
      <c r="L8" s="31">
        <v>9</v>
      </c>
      <c r="M8" s="30">
        <f>L8*K8</f>
        <v>5405.1851165211929</v>
      </c>
      <c r="N8" s="30">
        <v>601</v>
      </c>
      <c r="O8" s="25"/>
    </row>
    <row r="9" spans="1:15" ht="35.25" customHeight="1">
      <c r="A9" s="31">
        <v>5</v>
      </c>
      <c r="B9" s="29" t="s">
        <v>87</v>
      </c>
      <c r="C9" s="52" t="s">
        <v>39</v>
      </c>
      <c r="D9" s="29" t="s">
        <v>36</v>
      </c>
      <c r="E9" s="30">
        <f>'расчет затраты на опл.труда'!G9</f>
        <v>180.19804775000003</v>
      </c>
      <c r="F9" s="30">
        <v>0</v>
      </c>
      <c r="G9" s="30">
        <v>0</v>
      </c>
      <c r="H9" s="30">
        <f>'Расчет накладных затрат'!I13</f>
        <v>412.13198489311804</v>
      </c>
      <c r="I9" s="30">
        <f>E9+F9+G9+H9</f>
        <v>592.3300326431181</v>
      </c>
      <c r="J9" s="31">
        <v>20</v>
      </c>
      <c r="K9" s="30">
        <f>I9*1.2</f>
        <v>710.79603917174165</v>
      </c>
      <c r="L9" s="31">
        <v>8</v>
      </c>
      <c r="M9" s="30">
        <f>L9*K9</f>
        <v>5686.3683133739332</v>
      </c>
      <c r="N9" s="30">
        <v>600</v>
      </c>
      <c r="O9" s="25"/>
    </row>
    <row r="10" spans="1:15" ht="34.5" customHeight="1">
      <c r="A10" s="31">
        <v>6</v>
      </c>
      <c r="B10" s="29" t="s">
        <v>88</v>
      </c>
      <c r="C10" s="52" t="s">
        <v>40</v>
      </c>
      <c r="D10" s="29" t="s">
        <v>36</v>
      </c>
      <c r="E10" s="30">
        <f>'расчет затраты на опл.труда'!G10</f>
        <v>195.33976525000003</v>
      </c>
      <c r="F10" s="30">
        <v>0</v>
      </c>
      <c r="G10" s="30">
        <v>0</v>
      </c>
      <c r="H10" s="30">
        <f>'Расчет накладных затрат'!J13</f>
        <v>446.76269352667401</v>
      </c>
      <c r="I10" s="30">
        <f>E10+F10+G10+H10</f>
        <v>642.10245877667398</v>
      </c>
      <c r="J10" s="31">
        <v>20</v>
      </c>
      <c r="K10" s="30">
        <f>I10*1.2</f>
        <v>770.52295053200874</v>
      </c>
      <c r="L10" s="31">
        <v>8</v>
      </c>
      <c r="M10" s="30">
        <f>L10*K10</f>
        <v>6164.1836042560699</v>
      </c>
      <c r="N10" s="30">
        <v>600</v>
      </c>
      <c r="O10" s="25"/>
    </row>
    <row r="11" spans="1:15" ht="34.5" customHeight="1">
      <c r="A11" s="31">
        <v>7</v>
      </c>
      <c r="B11" s="29" t="s">
        <v>93</v>
      </c>
      <c r="C11" s="49" t="s">
        <v>94</v>
      </c>
      <c r="D11" s="28" t="s">
        <v>92</v>
      </c>
      <c r="E11" s="30">
        <f>'расчет затраты на опл.труда'!G11</f>
        <v>134.30341575</v>
      </c>
      <c r="F11" s="30">
        <v>0</v>
      </c>
      <c r="G11" s="30">
        <v>0</v>
      </c>
      <c r="H11" s="30">
        <f>'Расчет накладных затрат'!K13</f>
        <v>307.16610974478851</v>
      </c>
      <c r="I11" s="30">
        <f>E11+F11+G11+H11</f>
        <v>441.46952549478851</v>
      </c>
      <c r="J11" s="31">
        <v>20</v>
      </c>
      <c r="K11" s="30">
        <f>I11*1.2</f>
        <v>529.76343059374619</v>
      </c>
      <c r="L11" s="31">
        <v>8</v>
      </c>
      <c r="M11" s="30">
        <f t="shared" ref="M11" si="0">L11*K11</f>
        <v>4238.1074447499695</v>
      </c>
      <c r="N11" s="30">
        <v>800</v>
      </c>
      <c r="O11" s="25"/>
    </row>
    <row r="12" spans="1:15" ht="23.25" customHeight="1">
      <c r="A12" s="15">
        <v>8</v>
      </c>
      <c r="B12" s="53" t="s">
        <v>78</v>
      </c>
      <c r="C12" s="49" t="s">
        <v>74</v>
      </c>
      <c r="D12" s="29" t="s">
        <v>36</v>
      </c>
      <c r="E12" s="30">
        <f>'расчет затраты на опл.труда'!G12</f>
        <v>184.48849579999998</v>
      </c>
      <c r="F12" s="30">
        <v>0</v>
      </c>
      <c r="G12" s="30">
        <v>0</v>
      </c>
      <c r="H12" s="30">
        <f>'Расчет накладных затрат'!L13</f>
        <v>421.94469314942756</v>
      </c>
      <c r="I12" s="30">
        <f>E12+F12+G12+H12</f>
        <v>606.43318894942752</v>
      </c>
      <c r="J12" s="31">
        <v>10</v>
      </c>
      <c r="K12" s="30">
        <f>I12*1.1</f>
        <v>667.07650784437033</v>
      </c>
      <c r="L12" s="31">
        <v>8</v>
      </c>
      <c r="M12" s="30">
        <f>L12*K12</f>
        <v>5336.6120627549626</v>
      </c>
      <c r="N12" s="30">
        <v>1800</v>
      </c>
      <c r="O12" s="25"/>
    </row>
    <row r="13" spans="1:15" ht="15.7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</row>
    <row r="14" spans="1:15" ht="15.75">
      <c r="A14" s="71" t="s">
        <v>79</v>
      </c>
      <c r="B14" s="71"/>
      <c r="C14" s="71"/>
      <c r="D14" s="71"/>
      <c r="E14" s="72" t="s">
        <v>82</v>
      </c>
      <c r="F14" s="72"/>
      <c r="G14" s="72"/>
      <c r="H14" s="72"/>
      <c r="I14" s="25"/>
      <c r="J14" s="25"/>
      <c r="K14" s="25"/>
      <c r="L14" s="25"/>
      <c r="M14" s="25"/>
      <c r="N14" s="25"/>
      <c r="O14" s="25"/>
    </row>
    <row r="15" spans="1:15" ht="15.7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</row>
    <row r="16" spans="1:15" ht="15.7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1:15" ht="15.75">
      <c r="A17" s="72" t="s">
        <v>84</v>
      </c>
      <c r="B17" s="72"/>
      <c r="C17" s="72"/>
      <c r="D17" s="72"/>
      <c r="E17" s="71" t="s">
        <v>83</v>
      </c>
      <c r="F17" s="71"/>
      <c r="G17" s="71"/>
      <c r="H17" s="25"/>
      <c r="I17" s="25"/>
      <c r="J17" s="25"/>
      <c r="K17" s="25"/>
      <c r="L17" s="25"/>
      <c r="M17" s="25"/>
      <c r="N17" s="25"/>
      <c r="O17" s="25"/>
    </row>
    <row r="18" spans="1:15" ht="15.7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</row>
  </sheetData>
  <sortState ref="B6:N13">
    <sortCondition ref="B5"/>
  </sortState>
  <mergeCells count="16">
    <mergeCell ref="B3:B4"/>
    <mergeCell ref="A14:D14"/>
    <mergeCell ref="E14:H14"/>
    <mergeCell ref="E17:G17"/>
    <mergeCell ref="A17:D17"/>
    <mergeCell ref="A1:N1"/>
    <mergeCell ref="A3:A4"/>
    <mergeCell ref="C3:C4"/>
    <mergeCell ref="D3:D4"/>
    <mergeCell ref="E3:H3"/>
    <mergeCell ref="I3:I4"/>
    <mergeCell ref="J3:J4"/>
    <mergeCell ref="K3:K4"/>
    <mergeCell ref="L3:L4"/>
    <mergeCell ref="M3:M4"/>
    <mergeCell ref="N3:N4"/>
  </mergeCells>
  <pageMargins left="0" right="0" top="0.74803149606299213" bottom="0.74803149606299213" header="0.31496062992125984" footer="0.31496062992125984"/>
  <pageSetup paperSize="9" scale="8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9"/>
  <sheetViews>
    <sheetView workbookViewId="0">
      <selection activeCell="A9" sqref="A9:F9"/>
    </sheetView>
  </sheetViews>
  <sheetFormatPr defaultRowHeight="15"/>
  <cols>
    <col min="2" max="2" width="17" customWidth="1"/>
    <col min="3" max="7" width="16.140625" customWidth="1"/>
  </cols>
  <sheetData>
    <row r="1" spans="1:8">
      <c r="A1" s="74" t="s">
        <v>54</v>
      </c>
      <c r="B1" s="74"/>
      <c r="C1" s="74"/>
      <c r="D1" s="74"/>
      <c r="E1" s="74"/>
      <c r="F1" s="74"/>
      <c r="G1" s="74"/>
    </row>
    <row r="2" spans="1:8">
      <c r="A2" s="74" t="s">
        <v>55</v>
      </c>
      <c r="B2" s="74"/>
      <c r="C2" s="74"/>
      <c r="D2" s="74"/>
      <c r="E2" s="74"/>
      <c r="F2" s="74"/>
      <c r="G2" s="74"/>
    </row>
    <row r="3" spans="1:8">
      <c r="A3" s="75" t="s">
        <v>56</v>
      </c>
      <c r="B3" s="75"/>
      <c r="C3" s="75"/>
      <c r="D3" s="75"/>
      <c r="E3" s="75"/>
      <c r="F3" s="75"/>
      <c r="G3" s="75"/>
    </row>
    <row r="4" spans="1:8">
      <c r="A4" s="32"/>
      <c r="B4" s="32"/>
      <c r="C4" s="32"/>
      <c r="D4" s="32"/>
      <c r="E4" s="32"/>
      <c r="F4" s="32"/>
      <c r="G4" s="32"/>
    </row>
    <row r="5" spans="1:8" ht="63.75" customHeight="1">
      <c r="A5" s="45" t="s">
        <v>7</v>
      </c>
      <c r="B5" s="45" t="s">
        <v>57</v>
      </c>
      <c r="C5" s="45" t="s">
        <v>58</v>
      </c>
      <c r="D5" s="45" t="s">
        <v>59</v>
      </c>
      <c r="E5" s="45" t="s">
        <v>60</v>
      </c>
      <c r="F5" s="45" t="s">
        <v>103</v>
      </c>
      <c r="G5" s="45" t="s">
        <v>61</v>
      </c>
      <c r="H5" s="26"/>
    </row>
    <row r="6" spans="1:8">
      <c r="A6" s="31">
        <v>1</v>
      </c>
      <c r="B6" s="31">
        <v>2</v>
      </c>
      <c r="C6" s="31">
        <v>3</v>
      </c>
      <c r="D6" s="31">
        <v>4</v>
      </c>
      <c r="E6" s="31">
        <v>5</v>
      </c>
      <c r="F6" s="31">
        <v>6</v>
      </c>
      <c r="G6" s="31">
        <v>7</v>
      </c>
    </row>
    <row r="7" spans="1:8">
      <c r="A7" s="31">
        <v>1</v>
      </c>
      <c r="B7" s="29" t="s">
        <v>62</v>
      </c>
      <c r="C7" s="31" t="s">
        <v>63</v>
      </c>
      <c r="D7" s="31">
        <v>15</v>
      </c>
      <c r="E7" s="31">
        <v>30</v>
      </c>
      <c r="F7" s="31">
        <v>10</v>
      </c>
      <c r="G7" s="31">
        <f>D7*F7</f>
        <v>150</v>
      </c>
    </row>
    <row r="8" spans="1:8">
      <c r="A8" s="31">
        <v>2</v>
      </c>
      <c r="B8" s="29" t="s">
        <v>64</v>
      </c>
      <c r="C8" s="31" t="s">
        <v>63</v>
      </c>
      <c r="D8" s="31">
        <v>30</v>
      </c>
      <c r="E8" s="31">
        <v>30</v>
      </c>
      <c r="F8" s="31">
        <v>20</v>
      </c>
      <c r="G8" s="31">
        <f t="shared" ref="G8" si="0">D8*F8</f>
        <v>600</v>
      </c>
    </row>
    <row r="9" spans="1:8">
      <c r="A9" s="76" t="s">
        <v>65</v>
      </c>
      <c r="B9" s="76"/>
      <c r="C9" s="76"/>
      <c r="D9" s="76"/>
      <c r="E9" s="76"/>
      <c r="F9" s="76"/>
      <c r="G9" s="31">
        <f>SUM(G7:G8)/8</f>
        <v>93.75</v>
      </c>
    </row>
  </sheetData>
  <mergeCells count="4">
    <mergeCell ref="A1:G1"/>
    <mergeCell ref="A2:G2"/>
    <mergeCell ref="A3:G3"/>
    <mergeCell ref="A9:F9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J5" sqref="J5"/>
    </sheetView>
  </sheetViews>
  <sheetFormatPr defaultRowHeight="15"/>
  <cols>
    <col min="2" max="2" width="26.42578125" customWidth="1"/>
    <col min="3" max="7" width="15.7109375" customWidth="1"/>
  </cols>
  <sheetData>
    <row r="1" spans="1:8" ht="21" customHeight="1">
      <c r="A1" s="74" t="s">
        <v>54</v>
      </c>
      <c r="B1" s="74"/>
      <c r="C1" s="74"/>
      <c r="D1" s="74"/>
      <c r="E1" s="74"/>
      <c r="F1" s="74"/>
      <c r="G1" s="74"/>
    </row>
    <row r="2" spans="1:8" ht="19.5" customHeight="1">
      <c r="A2" s="74" t="s">
        <v>55</v>
      </c>
      <c r="B2" s="74"/>
      <c r="C2" s="74"/>
      <c r="D2" s="74"/>
      <c r="E2" s="74"/>
      <c r="F2" s="74"/>
      <c r="G2" s="74"/>
    </row>
    <row r="3" spans="1:8" ht="19.5" customHeight="1">
      <c r="A3" s="75" t="s">
        <v>56</v>
      </c>
      <c r="B3" s="75"/>
      <c r="C3" s="75"/>
      <c r="D3" s="75"/>
      <c r="E3" s="75"/>
      <c r="F3" s="75"/>
      <c r="G3" s="75"/>
    </row>
    <row r="4" spans="1:8">
      <c r="A4" s="32"/>
      <c r="B4" s="32"/>
      <c r="C4" s="32"/>
      <c r="D4" s="32"/>
      <c r="E4" s="32"/>
      <c r="F4" s="32"/>
      <c r="G4" s="32"/>
    </row>
    <row r="5" spans="1:8" ht="66" customHeight="1">
      <c r="A5" s="45" t="s">
        <v>7</v>
      </c>
      <c r="B5" s="45" t="s">
        <v>57</v>
      </c>
      <c r="C5" s="45" t="s">
        <v>58</v>
      </c>
      <c r="D5" s="45" t="s">
        <v>59</v>
      </c>
      <c r="E5" s="45" t="s">
        <v>60</v>
      </c>
      <c r="F5" s="45" t="s">
        <v>71</v>
      </c>
      <c r="G5" s="45" t="s">
        <v>61</v>
      </c>
      <c r="H5" s="26"/>
    </row>
    <row r="6" spans="1:8">
      <c r="A6" s="31">
        <v>1</v>
      </c>
      <c r="B6" s="31">
        <v>2</v>
      </c>
      <c r="C6" s="31">
        <v>3</v>
      </c>
      <c r="D6" s="31">
        <v>4</v>
      </c>
      <c r="E6" s="31">
        <v>5</v>
      </c>
      <c r="F6" s="31">
        <v>6</v>
      </c>
      <c r="G6" s="31">
        <v>7</v>
      </c>
    </row>
    <row r="7" spans="1:8">
      <c r="A7" s="31">
        <v>1</v>
      </c>
      <c r="B7" s="29" t="s">
        <v>66</v>
      </c>
      <c r="C7" s="31" t="s">
        <v>63</v>
      </c>
      <c r="D7" s="31">
        <v>5</v>
      </c>
      <c r="E7" s="31">
        <v>30</v>
      </c>
      <c r="F7" s="31">
        <v>30</v>
      </c>
      <c r="G7" s="31">
        <f>D7*F7</f>
        <v>150</v>
      </c>
    </row>
    <row r="8" spans="1:8">
      <c r="A8" s="31">
        <v>2</v>
      </c>
      <c r="B8" s="29" t="s">
        <v>67</v>
      </c>
      <c r="C8" s="31" t="s">
        <v>63</v>
      </c>
      <c r="D8" s="31">
        <v>10</v>
      </c>
      <c r="E8" s="31">
        <v>30</v>
      </c>
      <c r="F8" s="31">
        <v>10</v>
      </c>
      <c r="G8" s="31">
        <f t="shared" ref="G8:G11" si="0">D8*F8</f>
        <v>100</v>
      </c>
    </row>
    <row r="9" spans="1:8">
      <c r="A9" s="31">
        <v>3</v>
      </c>
      <c r="B9" s="29" t="s">
        <v>68</v>
      </c>
      <c r="C9" s="31" t="s">
        <v>63</v>
      </c>
      <c r="D9" s="31">
        <v>5</v>
      </c>
      <c r="E9" s="31">
        <v>30</v>
      </c>
      <c r="F9" s="31">
        <v>30</v>
      </c>
      <c r="G9" s="31">
        <f t="shared" si="0"/>
        <v>150</v>
      </c>
    </row>
    <row r="10" spans="1:8">
      <c r="A10" s="31">
        <v>4</v>
      </c>
      <c r="B10" s="29" t="s">
        <v>69</v>
      </c>
      <c r="C10" s="31" t="s">
        <v>63</v>
      </c>
      <c r="D10" s="31">
        <v>3</v>
      </c>
      <c r="E10" s="31">
        <v>30</v>
      </c>
      <c r="F10" s="31">
        <v>70</v>
      </c>
      <c r="G10" s="31">
        <f t="shared" si="0"/>
        <v>210</v>
      </c>
    </row>
    <row r="11" spans="1:8">
      <c r="A11" s="31">
        <v>5</v>
      </c>
      <c r="B11" s="29" t="s">
        <v>70</v>
      </c>
      <c r="C11" s="31" t="s">
        <v>63</v>
      </c>
      <c r="D11" s="31">
        <v>3</v>
      </c>
      <c r="E11" s="31">
        <v>30</v>
      </c>
      <c r="F11" s="31">
        <v>20</v>
      </c>
      <c r="G11" s="31">
        <f t="shared" si="0"/>
        <v>60</v>
      </c>
    </row>
    <row r="12" spans="1:8">
      <c r="A12" s="76" t="s">
        <v>65</v>
      </c>
      <c r="B12" s="76"/>
      <c r="C12" s="76"/>
      <c r="D12" s="76"/>
      <c r="E12" s="76"/>
      <c r="F12" s="76"/>
      <c r="G12" s="31">
        <f>SUM(G7:G11)/8</f>
        <v>83.75</v>
      </c>
    </row>
  </sheetData>
  <mergeCells count="4">
    <mergeCell ref="A1:G1"/>
    <mergeCell ref="A2:G2"/>
    <mergeCell ref="A3:G3"/>
    <mergeCell ref="A12:F12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расчет затраты на опл.труда</vt:lpstr>
      <vt:lpstr>Расчет цены кружка</vt:lpstr>
      <vt:lpstr>Расчет накладных затрат</vt:lpstr>
      <vt:lpstr>Калькуляция</vt:lpstr>
      <vt:lpstr>Аглийский затраты</vt:lpstr>
      <vt:lpstr>Логопед затраты</vt:lpstr>
      <vt:lpstr>'Расчет накладных затрат'!Область_печати</vt:lpstr>
      <vt:lpstr>'Расчет цены кружка'!Область_печати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2023-10-02T09:44:34Z</dcterms:modified>
</cp:coreProperties>
</file>